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6"/>
  <workbookPr defaultThemeVersion="166925"/>
  <mc:AlternateContent xmlns:mc="http://schemas.openxmlformats.org/markup-compatibility/2006">
    <mc:Choice Requires="x15">
      <x15ac:absPath xmlns:x15ac="http://schemas.microsoft.com/office/spreadsheetml/2010/11/ac" url="https://idipronbgta.sharepoint.com/sites/MapadeRiesgosIDIPRON/Documentos compartidos/RIESGOS 2025/Riesgos de Gestión/Primer seguimiento/Evaluación a la Gestión/"/>
    </mc:Choice>
  </mc:AlternateContent>
  <xr:revisionPtr revIDLastSave="36" documentId="13_ncr:1_{1C9AF61C-90E4-4B4B-BA0F-824E61E09658}" xr6:coauthVersionLast="47" xr6:coauthVersionMax="47" xr10:uidLastSave="{B73C39F8-0948-4C45-BB27-358C8219111A}"/>
  <bookViews>
    <workbookView xWindow="-108" yWindow="-108" windowWidth="23256" windowHeight="12576" xr2:uid="{E9951750-6718-4E65-99C4-7D8C6E70D595}"/>
  </bookViews>
  <sheets>
    <sheet name="Riesgos" sheetId="3" r:id="rId1"/>
    <sheet name="Datos" sheetId="5" state="hidden" r:id="rId2"/>
    <sheet name="Instructivo" sheetId="4" r:id="rId3"/>
  </sheets>
  <definedNames>
    <definedName name="_xlnm.Print_Area" localSheetId="0">Riesgos!$A$1:$AK$18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8" i="3" l="1"/>
  <c r="S18" i="3"/>
  <c r="V21" i="3" l="1"/>
  <c r="S21" i="3"/>
  <c r="V20" i="3"/>
  <c r="S20" i="3"/>
  <c r="V19" i="3"/>
  <c r="S19" i="3"/>
  <c r="K19" i="3"/>
  <c r="H19" i="3"/>
  <c r="L19" i="3" l="1"/>
  <c r="M19" i="3" s="1"/>
  <c r="AD19" i="3" s="1"/>
  <c r="AC19" i="3" s="1"/>
  <c r="I19" i="3"/>
  <c r="Z19" i="3" s="1"/>
  <c r="AB19" i="3" s="1"/>
  <c r="Z20" i="3" s="1"/>
  <c r="AD20" i="3" l="1"/>
  <c r="AC20" i="3" s="1"/>
  <c r="N19" i="3"/>
  <c r="O19" i="3" s="1"/>
  <c r="AD21" i="3"/>
  <c r="AC21" i="3" s="1"/>
  <c r="AA19" i="3"/>
  <c r="AE19" i="3" s="1"/>
  <c r="AF19" i="3" s="1"/>
  <c r="AB20" i="3"/>
  <c r="Z21" i="3" s="1"/>
  <c r="AA20" i="3"/>
  <c r="AE20" i="3" l="1"/>
  <c r="AF20" i="3" s="1"/>
  <c r="AA21" i="3"/>
  <c r="AE21" i="3" s="1"/>
  <c r="AF21" i="3" s="1"/>
  <c r="AB21" i="3"/>
  <c r="V17" i="3" l="1"/>
  <c r="S17" i="3"/>
  <c r="K17" i="3" l="1"/>
  <c r="L17" i="3" s="1"/>
  <c r="M17" i="3" l="1"/>
  <c r="AD18" i="3" s="1"/>
  <c r="AC18" i="3" s="1"/>
  <c r="H17" i="3"/>
  <c r="AD17" i="3" l="1"/>
  <c r="AC17" i="3" s="1"/>
  <c r="I17" i="3"/>
  <c r="Z17" i="3" s="1"/>
  <c r="AA17" i="3" s="1"/>
  <c r="N17" i="3"/>
  <c r="O17" i="3" s="1"/>
  <c r="AE17" i="3" l="1"/>
  <c r="AF17" i="3" s="1"/>
  <c r="AB17" i="3"/>
  <c r="Z18" i="3" s="1"/>
  <c r="AB18" i="3" l="1"/>
  <c r="AA18" i="3"/>
  <c r="AE18" i="3" s="1"/>
  <c r="AF1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Willington Granados Herrera</author>
  </authors>
  <commentList>
    <comment ref="G17" authorId="0" shapeId="0" xr:uid="{4AD0207E-504D-4695-9357-5E4A042B5A1A}">
      <text>
        <r>
          <rPr>
            <b/>
            <sz val="9"/>
            <color indexed="81"/>
            <rFont val="Tahoma"/>
            <family val="2"/>
          </rPr>
          <t>Willington Granados Herrera:</t>
        </r>
        <r>
          <rPr>
            <sz val="9"/>
            <color indexed="81"/>
            <rFont val="Tahoma"/>
            <family val="2"/>
          </rPr>
          <t xml:space="preserve">
Plan anual de auditoria 67 numero de informes o actividades relacionadas con la evaluación de la gestión</t>
        </r>
      </text>
    </comment>
  </commentList>
</comments>
</file>

<file path=xl/sharedStrings.xml><?xml version="1.0" encoding="utf-8"?>
<sst xmlns="http://schemas.openxmlformats.org/spreadsheetml/2006/main" count="218" uniqueCount="164">
  <si>
    <t>SEGUIMIENTO Y EVALUACIÓN</t>
  </si>
  <si>
    <t>CÓDIGO</t>
  </si>
  <si>
    <t>E-PLA-FT-020</t>
  </si>
  <si>
    <t>VERSIÓN</t>
  </si>
  <si>
    <t>09</t>
  </si>
  <si>
    <t>MAPA DE RIESGOS DE GESTIÓN</t>
  </si>
  <si>
    <t>PÁGINA</t>
  </si>
  <si>
    <t>1 DE 1</t>
  </si>
  <si>
    <t>VIGENTE DESDE</t>
  </si>
  <si>
    <t>Proceso</t>
  </si>
  <si>
    <t>EVALUACION A LA GESTIÓN</t>
  </si>
  <si>
    <t>Objetivo del Proceso</t>
  </si>
  <si>
    <t>Evaluar el nivel de desarrollo y grado de efectividad del Sistema de Control Interno, mediante la revisión, evaluación y seguimiento a la gestión de los procesos con un enfoque basado en riesgos, para generar alertas y recomendaciones que contribuyan al mejoramiento continuo, en el marco de los roles establecidos para las oficinas de control interno.</t>
  </si>
  <si>
    <t>Alcance</t>
  </si>
  <si>
    <t>Inicia con planeación y planificación del Plan Anual de Auditorías, seguido de la ejecución de actividades y autoevaluación al proceso para finalizar con la presentación de los resultados de la evaluación del Sistema de Control Interno al Comité Institucional de Coordinación de Control Interno, el seguimiento a los planes de mejoramiento y a los compromisos establecidos.</t>
  </si>
  <si>
    <t>IDENTIFICACIÓN DEL RIESGO</t>
  </si>
  <si>
    <t>VALORACIÓN DEL RIESGO</t>
  </si>
  <si>
    <t>GESTIÓN DEL RIESGO</t>
  </si>
  <si>
    <t xml:space="preserve">MONITOREO </t>
  </si>
  <si>
    <t>Atributos</t>
  </si>
  <si>
    <t>No. De Riesgo</t>
  </si>
  <si>
    <t>Impacto</t>
  </si>
  <si>
    <t>Causa Inmediata</t>
  </si>
  <si>
    <t>Causa Raíz</t>
  </si>
  <si>
    <t>Descripción del Riesgo</t>
  </si>
  <si>
    <t>Clasificación Riesgo</t>
  </si>
  <si>
    <t>Frecuencia con la que se realiza la actividad</t>
  </si>
  <si>
    <t>Probabilidad 
Inherente</t>
  </si>
  <si>
    <t>%</t>
  </si>
  <si>
    <t>Criterios de Impacto</t>
  </si>
  <si>
    <t>Observación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</si>
  <si>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</si>
  <si>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</si>
  <si>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</si>
  <si>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</si>
  <si>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</si>
  <si>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</si>
  <si>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</si>
  <si>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</si>
  <si>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</si>
  <si>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</si>
  <si>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</si>
  <si>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</si>
  <si>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</si>
  <si>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</si>
  <si>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</si>
  <si>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</si>
  <si>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</si>
  <si>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</si>
  <si>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</si>
  <si>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</si>
  <si>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</si>
  <si>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</si>
  <si>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Fortalecimiento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</si>
  <si>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</si>
  <si>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</si>
  <si>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</si>
  <si>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</si>
  <si>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</si>
  <si>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errada información</t>
  </si>
  <si>
    <t>No recibir información 
Entrega inoportuna o incompleta  de información
Integridad de la Información</t>
  </si>
  <si>
    <t>Posibilidad de afectación reputacional por emitir opinión equivocada de la evaluación de la gestión debido a debilidades en la integridad de la información analizada</t>
  </si>
  <si>
    <t>El riesgo afecta la imagen de la entidad con algunos usuarios de relevancia frente al logro de los objetivos.</t>
  </si>
  <si>
    <t>Cada vez que se requiere información a los procesos, el líder de la actividad de evaluación de la gestión coteja la información recibida contra la requerida por la OCI, en caso de detectar falta de información se requiere al líder del proceso auditado para que sea ajustada.</t>
  </si>
  <si>
    <t>Detectivo</t>
  </si>
  <si>
    <t>Manual</t>
  </si>
  <si>
    <t>002 Trámite de Información para Informes de Obligatorio Cumplimiento S-EVG-PR-002</t>
  </si>
  <si>
    <t>Cada vez que se requiere información</t>
  </si>
  <si>
    <t>Solicitudes de complementación de información</t>
  </si>
  <si>
    <t>REDUCIR EL RIESGO</t>
  </si>
  <si>
    <t xml:space="preserve">Documentar los controles en la actualización de los documentos del proceso </t>
  </si>
  <si>
    <t xml:space="preserve">Jefe de Oficina </t>
  </si>
  <si>
    <t>Durante el periodo no se presentaron casos de reiteraciones o solicitudes de complementación de información. Se aporta el reporte de Cordis de memorandos en el que se pueden verificar las solicitudes de información remitidas en los meses Enero a abril de 2025.</t>
  </si>
  <si>
    <t>Durante los meses de Enero a abril de 2025, no se presentaron actualizaciones de los documentos del proceso.</t>
  </si>
  <si>
    <t>No se registraron materializaciones durante este periodo.</t>
  </si>
  <si>
    <t xml:space="preserve">Control 1 y 2 
De acuerdo con lo descrito por el proceso, no se detectaron casos con falta d einformación u opiniones equivocadas, por lo cual no fue necesario ejecutar los controles. 
Se sugiere para el siguiente seguimiento realizar la actividad de fortalecimiento.
No se materializa el riesgo. </t>
  </si>
  <si>
    <r>
      <rPr>
        <b/>
        <sz val="11"/>
        <color rgb="FF000000"/>
        <rFont val="Times New Roman"/>
      </rPr>
      <t xml:space="preserve">Control 1
</t>
    </r>
    <r>
      <rPr>
        <sz val="11"/>
        <color rgb="FF000000"/>
        <rFont val="Times New Roman"/>
      </rPr>
      <t xml:space="preserve">Se reportó que durante este periodo no se dio aplicación a la actividad de contro
Acción de Fortalecimiento
Se reportó que durante este periodo no se dio aplicación a la Actividad de Fortalecimiento
No se reportó materialización del riesgo
</t>
    </r>
    <r>
      <rPr>
        <b/>
        <sz val="11"/>
        <color rgb="FF000000"/>
        <rFont val="Times New Roman"/>
      </rPr>
      <t xml:space="preserve">
Control 2
</t>
    </r>
    <r>
      <rPr>
        <sz val="11"/>
        <color rgb="FF000000"/>
        <rFont val="Times New Roman"/>
      </rPr>
      <t>Se reportó que durante este periodo no se dio aplicación a la actividad de contro</t>
    </r>
  </si>
  <si>
    <t xml:space="preserve">La jefatura de Control Interno al momento de detectar una opinión equivocada, procederá a emitir un alcance o corrección de la misma </t>
  </si>
  <si>
    <t>Correctivo</t>
  </si>
  <si>
    <t xml:space="preserve">Auditorias Internas S-EVG-PR-001  y  
Seguimiento a la gestión e informes de ley S-EVG-PR-002 </t>
  </si>
  <si>
    <t xml:space="preserve">Cada vez que se presente </t>
  </si>
  <si>
    <r>
      <rPr>
        <sz val="12"/>
        <rFont val="Times New Roman"/>
        <family val="1"/>
      </rPr>
      <t>Alcance o corrección por el medio en el que fue presentado.</t>
    </r>
    <r>
      <rPr>
        <sz val="12"/>
        <color rgb="FFFF0000"/>
        <rFont val="Times New Roman"/>
        <family val="1"/>
      </rPr>
      <t xml:space="preserve"> </t>
    </r>
  </si>
  <si>
    <t>Durante el periodo no se han detectado opiniones equivocadas de la Oficina, por lo que no ha sido necesario realizar alcances o correcciones.</t>
  </si>
  <si>
    <t>Sanciones</t>
  </si>
  <si>
    <t>Debilidades en el seguimiento y control a la ejecución del PAA
Entrega inoportuna o incompleta de información</t>
  </si>
  <si>
    <t>Posibilidad de afectación reputacional por Incumplimiento de los informes de ley debido a Debilidades en el seguimiento y control a la ejecución del PAA. Entrega inoportuna o incompleta de información</t>
  </si>
  <si>
    <t>El riesgo afecta la imagen de la entidad internamente, de conocimiento general nivel interno, de junta directiva y/o de proveedores</t>
  </si>
  <si>
    <t xml:space="preserve">La jefatura de Control Interno mensualmente realiza reunión con el equipo de la Oficina en la que se realiza seguimiento a la ejecución del PAA, y se verifican lo informes de Ley emitidos el mes anterior y que se deben emitir en el mes actual y en el siguiente, generando acta con compromisos y decisiones </t>
  </si>
  <si>
    <t>Preventivo</t>
  </si>
  <si>
    <t xml:space="preserve">Mensualmente </t>
  </si>
  <si>
    <t xml:space="preserve">Acta y presentación </t>
  </si>
  <si>
    <t>ACEPTAR EL RIESGO</t>
  </si>
  <si>
    <t>Jefe de Oficina</t>
  </si>
  <si>
    <t>Se realizaron las reuniones mensuales con el equipo de la Oficina, desarrollando en la agenda el seguimiento a la ejecución del PAA, y se verificaron los estados y avances informes de ley emitidos el mes anterior y que se deben emitir en el mes actual y en el mes siguiente, así como el seguimiento a compromisos, se adjuntan como evidencias las actas, listados de asistencia y presentaciones.</t>
  </si>
  <si>
    <t xml:space="preserve">
Control 1 
Se evidencias las reuniones mensuales para el seguimiento a la ejecución del PAA. 
No se materializa el riesgo. 
Control 2
Se evidencia el seguimiento mensual en la herramienta establecida 
No se materializa el riesgo. 
Control 3 
El proceso manifiesta no haber identificado incumplimientos en los informes de ley, por lo cual no hubo necesidad de ejecutar el control</t>
  </si>
  <si>
    <r>
      <rPr>
        <b/>
        <sz val="11"/>
        <color rgb="FF000000"/>
        <rFont val="Times New Roman"/>
      </rPr>
      <t xml:space="preserve">Control 1
</t>
    </r>
    <r>
      <rPr>
        <sz val="11"/>
        <color rgb="FF000000"/>
        <rFont val="Times New Roman"/>
      </rPr>
      <t xml:space="preserve">se evidenció la ejecución de la actividad de control
</t>
    </r>
    <r>
      <rPr>
        <b/>
        <sz val="11"/>
        <color rgb="FF000000"/>
        <rFont val="Times New Roman"/>
      </rPr>
      <t xml:space="preserve">
Acción de Fortalecimiento
</t>
    </r>
    <r>
      <rPr>
        <sz val="11"/>
        <color rgb="FF000000"/>
        <rFont val="Times New Roman"/>
      </rPr>
      <t xml:space="preserve">Se reportó que durante este periodo no se dio aplicación a la Actividad de Fortalecimiento
No se reportó materialización del riesgo
</t>
    </r>
    <r>
      <rPr>
        <b/>
        <sz val="11"/>
        <color rgb="FF000000"/>
        <rFont val="Times New Roman"/>
      </rPr>
      <t xml:space="preserve">
Control 2
</t>
    </r>
    <r>
      <rPr>
        <sz val="11"/>
        <color rgb="FF000000"/>
        <rFont val="Times New Roman"/>
      </rPr>
      <t xml:space="preserve">se evidenció la ejecución de la actividad de control
</t>
    </r>
    <r>
      <rPr>
        <b/>
        <sz val="11"/>
        <color rgb="FF000000"/>
        <rFont val="Times New Roman"/>
      </rPr>
      <t xml:space="preserve">
Control 3
</t>
    </r>
    <r>
      <rPr>
        <sz val="11"/>
        <color rgb="FF000000"/>
        <rFont val="Times New Roman"/>
      </rPr>
      <t>Se reportó que durante este periodo no se dio aplicación a la actividad de contro</t>
    </r>
  </si>
  <si>
    <t xml:space="preserve">La funcionaria o contratista asignada mensualmente realiza seguimiento a los avances de la ejecución del PAA reportada por el equipo auditor y lo registra en la herramienta de seguimiento definida por la jefatura de la OCI,  generando alertamientos frente a posibles retrasos </t>
  </si>
  <si>
    <t>Soportes de la herramienta de seguimiento</t>
  </si>
  <si>
    <t>Se ha realizado el seguimiento al avance en la ejecución del PAA y se registró en la herramienta de seguimiento establecida por la jefatura, no se han presentado retrasos para el periodo evaluado, se adjuntan evidencias de seguimiento con corte a 30 de abril de 2025.</t>
  </si>
  <si>
    <t xml:space="preserve">La jefatura de Control Interno cuando al momento de evidenciar el incumplimiento de algún informe de ley procederá a emitir el informe respectivo </t>
  </si>
  <si>
    <t xml:space="preserve">Informe de ley emitido </t>
  </si>
  <si>
    <t>No se han presentado casos y por lo tanto no se ha requerido ejecutar este control.</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</si>
  <si>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</si>
  <si>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</si>
  <si>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</si>
  <si>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</si>
  <si>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</si>
  <si>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</si>
  <si>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</si>
  <si>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</si>
  <si>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</si>
  <si>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</si>
  <si>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</si>
  <si>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</si>
  <si>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</si>
  <si>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</si>
  <si>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</si>
  <si>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</si>
  <si>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</si>
  <si>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</si>
  <si>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</si>
  <si>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</si>
  <si>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</si>
  <si>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</si>
  <si>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</si>
  <si>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</si>
  <si>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</si>
  <si>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</si>
  <si>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</si>
  <si>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</si>
  <si>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</si>
  <si>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</si>
  <si>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</si>
  <si>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</si>
  <si>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</si>
  <si>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</si>
  <si>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</si>
  <si>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</si>
  <si>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</si>
  <si>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</si>
  <si>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</si>
  <si>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</si>
  <si>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</si>
  <si>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BAJA - CATASTRÓFICO</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</si>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</sst>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0">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9"/>
      <color indexed="81"/>
      <name val="Tahoma"/>
      <family val="2"/>
    </font>
    <font>
      <b/>
      <sz val="9"/>
      <color indexed="81"/>
      <name val="Tahoma"/>
      <family val="2"/>
    </font>
    <font>
      <sz val="12"/>
      <color rgb="FFFF0000"/>
      <name val="Times New Roman"/>
      <family val="1"/>
    </font>
    <font>
      <sz val="11"/>
      <color rgb="FF000000"/>
      <name val="Times New Roman"/>
      <family val="1"/>
    </font>
    <font>
      <b/>
      <sz val="12"/>
      <color rgb="FF000000"/>
      <name val="Times New Roman"/>
      <family val="1"/>
    </font>
    <font>
      <sz val="11"/>
      <color rgb="FF000000"/>
      <name val="Times New Roman"/>
    </font>
    <font>
      <b/>
      <sz val="11"/>
      <color rgb="FF000000"/>
      <name val="Times New Roman"/>
    </font>
    <font>
      <b/>
      <sz val="11"/>
      <color rgb="FF000000"/>
      <name val="Times New Roman"/>
      <family val="1"/>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style="thin">
        <color indexed="64"/>
      </right>
      <top style="thin">
        <color indexed="64"/>
      </top>
      <bottom/>
      <diagonal/>
    </border>
    <border>
      <left style="medium">
        <color indexed="64"/>
      </left>
      <right style="medium">
        <color rgb="FF000000"/>
      </right>
      <top style="thin">
        <color indexed="64"/>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
      <left style="thin">
        <color indexed="64"/>
      </left>
      <right style="medium">
        <color rgb="FF000000"/>
      </right>
      <top/>
      <bottom/>
      <diagonal/>
    </border>
    <border>
      <left style="thin">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indexed="64"/>
      </left>
      <right style="medium">
        <color indexed="64"/>
      </right>
      <top/>
      <bottom/>
      <diagonal/>
    </border>
    <border>
      <left style="thin">
        <color indexed="64"/>
      </left>
      <right style="medium">
        <color indexed="64"/>
      </right>
      <top/>
      <bottom style="thin">
        <color rgb="FF000000"/>
      </bottom>
      <diagonal/>
    </border>
    <border>
      <left style="medium">
        <color indexed="64"/>
      </left>
      <right style="thin">
        <color indexed="64"/>
      </right>
      <top/>
      <bottom style="medium">
        <color rgb="FF000000"/>
      </bottom>
      <diagonal/>
    </border>
    <border>
      <left style="thin">
        <color rgb="FF000000"/>
      </left>
      <right style="thin">
        <color rgb="FF000000"/>
      </right>
      <top/>
      <bottom style="thin">
        <color rgb="FF000000"/>
      </bottom>
      <diagonal/>
    </border>
  </borders>
  <cellStyleXfs count="2">
    <xf numFmtId="0" fontId="0" fillId="0" borderId="0"/>
    <xf numFmtId="41" fontId="6" fillId="0" borderId="0" applyFont="0" applyFill="0" applyBorder="0" applyAlignment="0" applyProtection="0"/>
  </cellStyleXfs>
  <cellXfs count="218">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0" xfId="0" applyFont="1" applyBorder="1" applyAlignment="1">
      <alignment horizontal="justify" vertical="center" wrapText="1"/>
    </xf>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36" xfId="0" applyFont="1" applyBorder="1" applyAlignment="1">
      <alignment horizontal="center" vertical="center"/>
    </xf>
    <xf numFmtId="0" fontId="2" fillId="0" borderId="6" xfId="0" applyFont="1" applyBorder="1" applyAlignment="1">
      <alignment horizontal="center" vertical="center" textRotation="90"/>
    </xf>
    <xf numFmtId="0" fontId="2" fillId="0" borderId="6" xfId="0" applyFont="1" applyBorder="1" applyAlignment="1">
      <alignment horizontal="center" vertical="center" textRotation="90" wrapText="1"/>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0" fontId="2" fillId="0" borderId="16" xfId="0" applyFont="1" applyBorder="1" applyAlignment="1">
      <alignment horizontal="justify" vertical="center" wrapText="1"/>
    </xf>
    <xf numFmtId="0" fontId="11" fillId="2" borderId="44" xfId="0" applyFont="1" applyFill="1" applyBorder="1" applyAlignment="1">
      <alignment horizontal="center" vertical="center" wrapText="1"/>
    </xf>
    <xf numFmtId="0" fontId="11" fillId="2" borderId="45" xfId="0" applyFont="1" applyFill="1" applyBorder="1" applyAlignment="1">
      <alignment horizontal="center" vertical="center" wrapText="1"/>
    </xf>
    <xf numFmtId="0" fontId="9" fillId="0" borderId="16" xfId="0" applyFont="1" applyBorder="1" applyAlignment="1">
      <alignment horizontal="center" vertical="center" textRotation="90" wrapText="1"/>
    </xf>
    <xf numFmtId="0" fontId="9" fillId="0" borderId="1" xfId="0" applyFont="1" applyBorder="1" applyAlignment="1">
      <alignment horizontal="center" vertical="center" textRotation="90" wrapText="1"/>
    </xf>
    <xf numFmtId="14" fontId="11" fillId="0" borderId="46" xfId="0" applyNumberFormat="1" applyFont="1" applyBorder="1" applyAlignment="1" applyProtection="1">
      <alignment horizontal="center" vertical="center"/>
      <protection locked="0"/>
    </xf>
    <xf numFmtId="0" fontId="15" fillId="0" borderId="1" xfId="0" applyFont="1" applyBorder="1" applyAlignment="1">
      <alignment horizontal="left" vertical="center" wrapText="1"/>
    </xf>
    <xf numFmtId="0" fontId="15" fillId="0" borderId="6" xfId="0" applyFont="1" applyBorder="1" applyAlignment="1">
      <alignment horizontal="left" vertical="center" wrapText="1"/>
    </xf>
    <xf numFmtId="0" fontId="15" fillId="0" borderId="10" xfId="0" applyFont="1" applyBorder="1" applyAlignment="1">
      <alignment horizontal="left" vertical="center" wrapText="1"/>
    </xf>
    <xf numFmtId="0" fontId="15" fillId="0" borderId="33" xfId="0" applyFont="1" applyBorder="1" applyAlignment="1">
      <alignment horizontal="left" vertical="center" wrapText="1"/>
    </xf>
    <xf numFmtId="0" fontId="15" fillId="0" borderId="8" xfId="0" applyFont="1" applyBorder="1" applyAlignment="1">
      <alignment horizontal="center" vertical="center" wrapText="1"/>
    </xf>
    <xf numFmtId="0" fontId="15" fillId="0" borderId="35" xfId="0" applyFont="1" applyBorder="1" applyAlignment="1">
      <alignment horizontal="center" vertical="center" wrapText="1"/>
    </xf>
    <xf numFmtId="0" fontId="15" fillId="0" borderId="57" xfId="0" applyFont="1" applyBorder="1" applyAlignment="1">
      <alignment horizontal="center" vertical="center" wrapText="1"/>
    </xf>
    <xf numFmtId="0" fontId="15" fillId="0" borderId="48" xfId="0" applyFont="1" applyBorder="1" applyAlignment="1">
      <alignment vertical="center" wrapText="1"/>
    </xf>
    <xf numFmtId="0" fontId="15" fillId="0" borderId="32" xfId="0" applyFont="1" applyBorder="1" applyAlignment="1">
      <alignment vertical="center" wrapText="1"/>
    </xf>
    <xf numFmtId="0" fontId="15" fillId="0" borderId="51" xfId="0" applyFont="1" applyBorder="1" applyAlignment="1">
      <alignment vertical="center" wrapText="1"/>
    </xf>
    <xf numFmtId="9" fontId="3" fillId="4" borderId="6"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14" fontId="2" fillId="0" borderId="35" xfId="0" applyNumberFormat="1" applyFont="1" applyBorder="1" applyAlignment="1">
      <alignment horizontal="center" vertical="center" wrapText="1"/>
    </xf>
    <xf numFmtId="0" fontId="1" fillId="0" borderId="12" xfId="0" applyFont="1" applyBorder="1" applyAlignment="1">
      <alignment horizontal="center" vertical="center" textRotation="90"/>
    </xf>
    <xf numFmtId="0" fontId="1" fillId="0" borderId="14" xfId="0" applyFont="1" applyBorder="1" applyAlignment="1">
      <alignment horizontal="center" vertical="center" textRotation="90"/>
    </xf>
    <xf numFmtId="0" fontId="1" fillId="0" borderId="17" xfId="0" applyFont="1" applyBorder="1" applyAlignment="1">
      <alignment horizontal="center" vertical="center" textRotation="90"/>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3" fillId="4" borderId="6"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11" fillId="0" borderId="49" xfId="0" applyFont="1" applyBorder="1" applyAlignment="1" applyProtection="1">
      <alignment horizontal="center" vertical="center" wrapText="1"/>
      <protection locked="0"/>
    </xf>
    <xf numFmtId="0" fontId="11" fillId="0" borderId="50" xfId="0" applyFont="1" applyBorder="1" applyAlignment="1" applyProtection="1">
      <alignment horizontal="center" vertical="center" wrapText="1"/>
      <protection locked="0"/>
    </xf>
    <xf numFmtId="0" fontId="11" fillId="0" borderId="52" xfId="0" applyFont="1" applyBorder="1" applyAlignment="1" applyProtection="1">
      <alignment horizontal="center" vertical="center" wrapText="1"/>
      <protection locked="0"/>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4" xfId="0" applyFont="1" applyFill="1" applyBorder="1" applyAlignment="1">
      <alignment horizontal="center" vertical="center"/>
    </xf>
    <xf numFmtId="0" fontId="2" fillId="0" borderId="13" xfId="0" applyFont="1" applyBorder="1" applyAlignment="1">
      <alignment horizontal="justify" vertical="center" wrapText="1"/>
    </xf>
    <xf numFmtId="0" fontId="2" fillId="0" borderId="15"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6" xfId="0" applyFont="1" applyBorder="1" applyAlignment="1">
      <alignment horizontal="justify" vertical="center" wrapText="1"/>
    </xf>
    <xf numFmtId="14" fontId="2" fillId="0" borderId="1" xfId="0" applyNumberFormat="1" applyFont="1" applyBorder="1" applyAlignment="1">
      <alignment horizontal="justify" vertical="center" wrapText="1"/>
    </xf>
    <xf numFmtId="41" fontId="3" fillId="0" borderId="9" xfId="1" applyFont="1" applyBorder="1" applyAlignment="1">
      <alignment horizontal="center" vertical="center" wrapText="1"/>
    </xf>
    <xf numFmtId="9" fontId="3" fillId="4" borderId="9" xfId="0" applyNumberFormat="1" applyFont="1" applyFill="1" applyBorder="1" applyAlignment="1">
      <alignment horizontal="center" vertical="center"/>
    </xf>
    <xf numFmtId="0" fontId="1" fillId="0" borderId="19" xfId="0" applyFont="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9" fontId="3" fillId="4" borderId="10" xfId="0" applyNumberFormat="1" applyFont="1" applyFill="1" applyBorder="1" applyAlignment="1">
      <alignment horizontal="center" vertical="center"/>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0" fillId="4" borderId="9" xfId="0" applyFont="1" applyFill="1" applyBorder="1" applyAlignment="1">
      <alignment horizontal="center" vertical="center" textRotation="90"/>
    </xf>
    <xf numFmtId="0" fontId="3" fillId="0" borderId="36"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6" xfId="0" applyFont="1" applyBorder="1" applyAlignment="1">
      <alignment horizontal="center" vertical="center" wrapText="1"/>
    </xf>
    <xf numFmtId="9" fontId="3" fillId="0" borderId="9"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0" fontId="3" fillId="0" borderId="18" xfId="0" applyFont="1" applyBorder="1" applyAlignment="1">
      <alignment horizontal="center" vertical="center"/>
    </xf>
    <xf numFmtId="9" fontId="3" fillId="0" borderId="32" xfId="0" applyNumberFormat="1" applyFont="1" applyBorder="1" applyAlignment="1">
      <alignment horizontal="center" vertical="center" wrapText="1"/>
    </xf>
    <xf numFmtId="0" fontId="3" fillId="0" borderId="10" xfId="0" applyFont="1" applyBorder="1" applyAlignment="1">
      <alignment horizontal="center" vertical="center"/>
    </xf>
    <xf numFmtId="0" fontId="3" fillId="3" borderId="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4" borderId="10" xfId="0" applyFont="1" applyFill="1" applyBorder="1" applyAlignment="1">
      <alignment horizontal="center" vertical="center"/>
    </xf>
    <xf numFmtId="0" fontId="3" fillId="0" borderId="10" xfId="0" applyFont="1" applyBorder="1" applyAlignment="1">
      <alignment horizontal="center" vertical="center" wrapText="1"/>
    </xf>
    <xf numFmtId="0" fontId="3" fillId="3" borderId="10" xfId="0" applyFont="1" applyFill="1" applyBorder="1" applyAlignment="1">
      <alignment horizontal="center" vertical="center" wrapTex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14" fontId="1" fillId="0" borderId="20" xfId="0" applyNumberFormat="1" applyFont="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0" fontId="11" fillId="0" borderId="47" xfId="0" applyFont="1" applyBorder="1" applyAlignment="1" applyProtection="1">
      <alignment horizontal="center" vertical="center" wrapText="1"/>
      <protection locked="0"/>
    </xf>
    <xf numFmtId="0" fontId="11" fillId="0" borderId="54" xfId="0" applyFont="1" applyBorder="1" applyAlignment="1" applyProtection="1">
      <alignment horizontal="center" vertical="center" wrapText="1"/>
      <protection locked="0"/>
    </xf>
    <xf numFmtId="0" fontId="17" fillId="0" borderId="53" xfId="0" applyFont="1" applyBorder="1" applyAlignment="1">
      <alignment vertical="center" wrapText="1"/>
    </xf>
    <xf numFmtId="0" fontId="17" fillId="0" borderId="58" xfId="0" applyFont="1" applyBorder="1" applyAlignment="1">
      <alignment vertical="center" wrapText="1"/>
    </xf>
    <xf numFmtId="0" fontId="15" fillId="0" borderId="53" xfId="0" applyFont="1" applyBorder="1" applyAlignment="1">
      <alignment vertical="center" wrapText="1"/>
    </xf>
    <xf numFmtId="0" fontId="15" fillId="0" borderId="58" xfId="0" applyFont="1" applyBorder="1" applyAlignment="1">
      <alignment vertical="center" wrapText="1"/>
    </xf>
    <xf numFmtId="0" fontId="15" fillId="0" borderId="3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3" xfId="0" applyFont="1" applyBorder="1" applyAlignment="1">
      <alignment horizontal="center" vertical="center" wrapText="1"/>
    </xf>
    <xf numFmtId="0" fontId="18" fillId="0" borderId="31" xfId="0" applyFont="1" applyBorder="1" applyAlignment="1">
      <alignment horizontal="center" vertical="center" wrapText="1"/>
    </xf>
    <xf numFmtId="0" fontId="16" fillId="0" borderId="56" xfId="0" applyFont="1" applyBorder="1" applyAlignment="1">
      <alignment horizontal="center" vertical="center" wrapText="1"/>
    </xf>
    <xf numFmtId="0" fontId="18" fillId="0" borderId="55" xfId="0" applyFont="1" applyBorder="1" applyAlignment="1">
      <alignment horizontal="center" vertical="center" wrapText="1"/>
    </xf>
    <xf numFmtId="0" fontId="19" fillId="0" borderId="55" xfId="0" applyFont="1" applyBorder="1" applyAlignment="1">
      <alignment horizontal="center" vertical="center" wrapText="1"/>
    </xf>
    <xf numFmtId="0" fontId="19" fillId="0" borderId="56" xfId="0" applyFont="1" applyBorder="1" applyAlignment="1">
      <alignment horizontal="center" vertical="center" wrapText="1"/>
    </xf>
  </cellXfs>
  <cellStyles count="2">
    <cellStyle name="Millares [0]" xfId="1" builtinId="6"/>
    <cellStyle name="Normal" xfId="0" builtinId="0"/>
  </cellStyles>
  <dxfs count="29">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903E7C49-892D-42E1-B280-2C565CD237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dimension ref="A1:AT31"/>
  <sheetViews>
    <sheetView showGridLines="0" tabSelected="1" topLeftCell="AN20" zoomScale="90" zoomScaleNormal="90" zoomScaleSheetLayoutView="90" workbookViewId="0">
      <selection activeCell="AT19" sqref="AT19:AT21"/>
    </sheetView>
  </sheetViews>
  <sheetFormatPr defaultColWidth="11.42578125" defaultRowHeight="15.6"/>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3" width="16.7109375" style="1" customWidth="1"/>
    <col min="24" max="24" width="11.42578125" style="1" customWidth="1"/>
    <col min="25" max="27" width="7.28515625" style="1" customWidth="1"/>
    <col min="28" max="28" width="10.8554687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8.28515625" customWidth="1"/>
    <col min="40" max="43" width="45" customWidth="1"/>
    <col min="44" max="44" width="1" customWidth="1"/>
    <col min="45" max="46" width="45" customWidth="1"/>
  </cols>
  <sheetData>
    <row r="1" spans="1:46" ht="15.75" customHeight="1">
      <c r="A1" s="117"/>
      <c r="B1" s="118"/>
      <c r="C1" s="123" t="s">
        <v>0</v>
      </c>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5"/>
      <c r="AQ1" s="117" t="s">
        <v>1</v>
      </c>
      <c r="AR1" s="118"/>
      <c r="AS1" s="183" t="s">
        <v>2</v>
      </c>
      <c r="AT1" s="184"/>
    </row>
    <row r="2" spans="1:46" ht="15.75" customHeight="1" thickBot="1">
      <c r="A2" s="119"/>
      <c r="B2" s="120"/>
      <c r="C2" s="126"/>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8"/>
      <c r="AQ2" s="121"/>
      <c r="AR2" s="122"/>
      <c r="AS2" s="185"/>
      <c r="AT2" s="186"/>
    </row>
    <row r="3" spans="1:46" ht="15.75" customHeight="1">
      <c r="A3" s="119"/>
      <c r="B3" s="120"/>
      <c r="C3" s="126"/>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8"/>
      <c r="AQ3" s="117" t="s">
        <v>3</v>
      </c>
      <c r="AR3" s="118"/>
      <c r="AS3" s="187" t="s">
        <v>4</v>
      </c>
      <c r="AT3" s="188"/>
    </row>
    <row r="4" spans="1:46" ht="16.5" customHeight="1" thickBot="1">
      <c r="A4" s="119"/>
      <c r="B4" s="120"/>
      <c r="C4" s="129"/>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1"/>
      <c r="AQ4" s="121"/>
      <c r="AR4" s="122"/>
      <c r="AS4" s="189"/>
      <c r="AT4" s="190"/>
    </row>
    <row r="5" spans="1:46" ht="20.45" customHeight="1">
      <c r="A5" s="119"/>
      <c r="B5" s="120"/>
      <c r="C5" s="126" t="s">
        <v>5</v>
      </c>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8"/>
      <c r="AQ5" s="117" t="s">
        <v>6</v>
      </c>
      <c r="AR5" s="118"/>
      <c r="AS5" s="117" t="s">
        <v>7</v>
      </c>
      <c r="AT5" s="118"/>
    </row>
    <row r="6" spans="1:46" ht="15" customHeight="1" thickBot="1">
      <c r="A6" s="119"/>
      <c r="B6" s="120"/>
      <c r="C6" s="126"/>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8"/>
      <c r="AQ6" s="121"/>
      <c r="AR6" s="122"/>
      <c r="AS6" s="121"/>
      <c r="AT6" s="122"/>
    </row>
    <row r="7" spans="1:46" ht="15.75" customHeight="1">
      <c r="A7" s="119"/>
      <c r="B7" s="120"/>
      <c r="C7" s="126"/>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8"/>
      <c r="AQ7" s="117" t="s">
        <v>8</v>
      </c>
      <c r="AR7" s="118"/>
      <c r="AS7" s="191">
        <v>44651</v>
      </c>
      <c r="AT7" s="184"/>
    </row>
    <row r="8" spans="1:46" ht="16.5" customHeight="1" thickBot="1">
      <c r="A8" s="121"/>
      <c r="B8" s="122"/>
      <c r="C8" s="129"/>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1"/>
      <c r="AQ8" s="121"/>
      <c r="AR8" s="122"/>
      <c r="AS8" s="185"/>
      <c r="AT8" s="186"/>
    </row>
    <row r="10" spans="1:46" ht="54" customHeight="1">
      <c r="A10" s="146" t="s">
        <v>9</v>
      </c>
      <c r="B10" s="146"/>
      <c r="C10" s="146"/>
      <c r="D10" s="147" t="s">
        <v>10</v>
      </c>
      <c r="E10" s="148"/>
      <c r="F10" s="148"/>
      <c r="G10" s="148"/>
      <c r="H10" s="148"/>
      <c r="I10" s="148"/>
      <c r="J10" s="148"/>
      <c r="K10" s="148"/>
      <c r="L10" s="148"/>
      <c r="M10" s="149"/>
      <c r="N10" s="29"/>
      <c r="AG10" s="1"/>
      <c r="AH10" s="1"/>
      <c r="AI10" s="1"/>
    </row>
    <row r="11" spans="1:46" s="3" customFormat="1" ht="75" customHeight="1">
      <c r="A11" s="146" t="s">
        <v>11</v>
      </c>
      <c r="B11" s="146"/>
      <c r="C11" s="146"/>
      <c r="D11" s="150" t="s">
        <v>12</v>
      </c>
      <c r="E11" s="151"/>
      <c r="F11" s="151"/>
      <c r="G11" s="151"/>
      <c r="H11" s="151"/>
      <c r="I11" s="151"/>
      <c r="J11" s="151"/>
      <c r="K11" s="151"/>
      <c r="L11" s="151"/>
      <c r="M11" s="152"/>
      <c r="N11" s="30"/>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146" t="s">
        <v>13</v>
      </c>
      <c r="B12" s="146"/>
      <c r="C12" s="146"/>
      <c r="D12" s="150" t="s">
        <v>14</v>
      </c>
      <c r="E12" s="151"/>
      <c r="F12" s="151"/>
      <c r="G12" s="151"/>
      <c r="H12" s="151"/>
      <c r="I12" s="151"/>
      <c r="J12" s="151"/>
      <c r="K12" s="151"/>
      <c r="L12" s="151"/>
      <c r="M12" s="152"/>
      <c r="N12" s="30"/>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154" t="s">
        <v>15</v>
      </c>
      <c r="B14" s="155"/>
      <c r="C14" s="155"/>
      <c r="D14" s="155"/>
      <c r="E14" s="155"/>
      <c r="F14" s="155"/>
      <c r="G14" s="155"/>
      <c r="H14" s="155"/>
      <c r="I14" s="155"/>
      <c r="J14" s="155"/>
      <c r="K14" s="155"/>
      <c r="L14" s="155"/>
      <c r="M14" s="155"/>
      <c r="N14" s="156"/>
      <c r="O14" s="157"/>
      <c r="P14" s="2"/>
      <c r="Q14" s="197" t="s">
        <v>16</v>
      </c>
      <c r="R14" s="198"/>
      <c r="S14" s="198"/>
      <c r="T14" s="199"/>
      <c r="U14" s="199"/>
      <c r="V14" s="199"/>
      <c r="W14" s="199"/>
      <c r="X14" s="199"/>
      <c r="Y14" s="199"/>
      <c r="Z14" s="198"/>
      <c r="AA14" s="198"/>
      <c r="AB14" s="198"/>
      <c r="AC14" s="198"/>
      <c r="AD14" s="198"/>
      <c r="AE14" s="198"/>
      <c r="AF14" s="198"/>
      <c r="AG14" s="200"/>
      <c r="AH14" s="2"/>
      <c r="AI14" s="132" t="s">
        <v>17</v>
      </c>
      <c r="AJ14" s="133"/>
      <c r="AK14" s="134"/>
      <c r="AM14" s="192" t="s">
        <v>18</v>
      </c>
      <c r="AN14" s="193"/>
      <c r="AO14" s="193"/>
      <c r="AP14" s="193"/>
      <c r="AQ14" s="194"/>
      <c r="AR14" s="43"/>
      <c r="AS14" s="132" t="s">
        <v>0</v>
      </c>
      <c r="AT14" s="134"/>
    </row>
    <row r="15" spans="1:46">
      <c r="A15" s="158"/>
      <c r="B15" s="159"/>
      <c r="C15" s="159"/>
      <c r="D15" s="159"/>
      <c r="E15" s="159"/>
      <c r="F15" s="159"/>
      <c r="G15" s="159"/>
      <c r="H15" s="159"/>
      <c r="I15" s="159"/>
      <c r="J15" s="159"/>
      <c r="K15" s="159"/>
      <c r="L15" s="159"/>
      <c r="M15" s="159"/>
      <c r="N15" s="160"/>
      <c r="O15" s="161"/>
      <c r="P15" s="2"/>
      <c r="Q15" s="31"/>
      <c r="R15" s="32"/>
      <c r="S15" s="32"/>
      <c r="T15" s="203" t="s">
        <v>19</v>
      </c>
      <c r="U15" s="203"/>
      <c r="V15" s="203"/>
      <c r="W15" s="203"/>
      <c r="X15" s="203"/>
      <c r="Y15" s="203"/>
      <c r="Z15" s="201"/>
      <c r="AA15" s="201"/>
      <c r="AB15" s="201"/>
      <c r="AC15" s="201"/>
      <c r="AD15" s="201"/>
      <c r="AE15" s="201"/>
      <c r="AF15" s="201"/>
      <c r="AG15" s="202"/>
      <c r="AH15" s="2"/>
      <c r="AI15" s="135"/>
      <c r="AJ15" s="136"/>
      <c r="AK15" s="137"/>
      <c r="AM15" s="195"/>
      <c r="AN15" s="136"/>
      <c r="AO15" s="136"/>
      <c r="AP15" s="136"/>
      <c r="AQ15" s="196"/>
      <c r="AR15" s="43"/>
      <c r="AS15" s="135"/>
      <c r="AT15" s="137"/>
    </row>
    <row r="16" spans="1:46" s="5" customFormat="1" ht="106.5" customHeight="1">
      <c r="A16" s="11" t="s">
        <v>20</v>
      </c>
      <c r="B16" s="12" t="s">
        <v>21</v>
      </c>
      <c r="C16" s="13" t="s">
        <v>22</v>
      </c>
      <c r="D16" s="13" t="s">
        <v>23</v>
      </c>
      <c r="E16" s="14" t="s">
        <v>24</v>
      </c>
      <c r="F16" s="24" t="s">
        <v>25</v>
      </c>
      <c r="G16" s="47" t="s">
        <v>26</v>
      </c>
      <c r="H16" s="14" t="s">
        <v>27</v>
      </c>
      <c r="I16" s="13" t="s">
        <v>28</v>
      </c>
      <c r="J16" s="13" t="s">
        <v>29</v>
      </c>
      <c r="K16" s="14" t="s">
        <v>30</v>
      </c>
      <c r="L16" s="14" t="s">
        <v>31</v>
      </c>
      <c r="M16" s="13" t="s">
        <v>28</v>
      </c>
      <c r="N16" s="13" t="s">
        <v>32</v>
      </c>
      <c r="O16" s="15" t="s">
        <v>33</v>
      </c>
      <c r="P16" s="2"/>
      <c r="Q16" s="16" t="s">
        <v>34</v>
      </c>
      <c r="R16" s="17" t="s">
        <v>35</v>
      </c>
      <c r="S16" s="35" t="s">
        <v>36</v>
      </c>
      <c r="T16" s="18" t="s">
        <v>37</v>
      </c>
      <c r="U16" s="18" t="s">
        <v>38</v>
      </c>
      <c r="V16" s="18" t="s">
        <v>39</v>
      </c>
      <c r="W16" s="18" t="s">
        <v>40</v>
      </c>
      <c r="X16" s="18" t="s">
        <v>41</v>
      </c>
      <c r="Y16" s="18" t="s">
        <v>42</v>
      </c>
      <c r="Z16" s="19" t="s">
        <v>43</v>
      </c>
      <c r="AA16" s="19" t="s">
        <v>44</v>
      </c>
      <c r="AB16" s="19" t="s">
        <v>28</v>
      </c>
      <c r="AC16" s="19" t="s">
        <v>45</v>
      </c>
      <c r="AD16" s="19" t="s">
        <v>28</v>
      </c>
      <c r="AE16" s="19" t="s">
        <v>32</v>
      </c>
      <c r="AF16" s="19" t="s">
        <v>46</v>
      </c>
      <c r="AG16" s="15" t="s">
        <v>47</v>
      </c>
      <c r="AH16" s="2"/>
      <c r="AI16" s="20" t="s">
        <v>48</v>
      </c>
      <c r="AJ16" s="17" t="s">
        <v>49</v>
      </c>
      <c r="AK16" s="42" t="s">
        <v>50</v>
      </c>
      <c r="AM16" s="81" t="s">
        <v>51</v>
      </c>
      <c r="AN16" s="45" t="s">
        <v>52</v>
      </c>
      <c r="AO16" s="45" t="s">
        <v>53</v>
      </c>
      <c r="AP16" s="45" t="s">
        <v>54</v>
      </c>
      <c r="AQ16" s="82" t="s">
        <v>55</v>
      </c>
      <c r="AR16" s="44"/>
      <c r="AS16" s="45" t="s">
        <v>56</v>
      </c>
      <c r="AT16" s="46" t="s">
        <v>57</v>
      </c>
    </row>
    <row r="17" spans="1:46" ht="249.75" customHeight="1">
      <c r="A17" s="174">
        <v>1</v>
      </c>
      <c r="B17" s="176" t="s">
        <v>58</v>
      </c>
      <c r="C17" s="181" t="s">
        <v>59</v>
      </c>
      <c r="D17" s="211" t="s">
        <v>60</v>
      </c>
      <c r="E17" s="181" t="s">
        <v>61</v>
      </c>
      <c r="F17" s="182"/>
      <c r="G17" s="176">
        <v>67</v>
      </c>
      <c r="H17" s="180" t="str">
        <f>IF(G17&lt;=0,"",IF(G17&lt;=2,"Muy Baja",IF(G17&lt;=24,"Baja",IF(G17&lt;=500,"Media",IF(G17&lt;=5000,"Alta","Muy Alta")))))</f>
        <v>Media</v>
      </c>
      <c r="I17" s="153">
        <f>IF(H17="","",IF(H17="Muy Baja",0.2,IF(H17="Baja",0.4,IF(H17="Media",0.6,IF(H17="Alta",0.8,IF(H17="Muy Alta",1,))))))</f>
        <v>0.6</v>
      </c>
      <c r="J17" s="172" t="s">
        <v>62</v>
      </c>
      <c r="K17" s="143" t="str">
        <f>+J17</f>
        <v>El riesgo afecta la imagen de la entidad con algunos usuarios de relevancia frente al logro de los objetivos.</v>
      </c>
      <c r="L17" s="180" t="str">
        <f>+VLOOKUP(K17,Datos!$O$4:$P$15,2,FALSE)</f>
        <v>Moderado</v>
      </c>
      <c r="M17" s="153">
        <f>IF(L17="","",IF(L17="Leve",0.2,IF(L17="Menor",0.4,IF(L17="Moderado",0.6,IF(L17="Mayor",0.8,IF(L17="Catastrófico",1,))))))</f>
        <v>0.6</v>
      </c>
      <c r="N17" s="144" t="str">
        <f>+CONCATENATE(H17, " - ", L17)</f>
        <v>Media - Moderado</v>
      </c>
      <c r="O17" s="162" t="str">
        <f>+VLOOKUP(N17,Datos!J4:K28,2,)</f>
        <v>MODERADO</v>
      </c>
      <c r="P17" s="39"/>
      <c r="Q17" s="21">
        <v>1</v>
      </c>
      <c r="R17" s="34" t="s">
        <v>63</v>
      </c>
      <c r="S17" s="48" t="str">
        <f t="shared" ref="S17:S21" si="0">IF(OR(T17="Preventivo",T17="Detectivo"),"Probabilidad",IF(T17="Correctivo","Impacto",""))</f>
        <v>Probabilidad</v>
      </c>
      <c r="T17" s="40" t="s">
        <v>64</v>
      </c>
      <c r="U17" s="40" t="s">
        <v>65</v>
      </c>
      <c r="V17" s="52" t="str">
        <f t="shared" ref="V17:V18" si="1">IF(AND(T17="Preventivo",U17="Automático"),"50%",IF(AND(T17="Preventivo",U17="Manual"),"40%",IF(AND(T17="Detectivo",U17="Automático"),"40%",IF(AND(T17="Detectivo",U17="Manual"),"30%",IF(AND(T17="Correctivo",U17="Automático"),"35%",IF(AND(T17="Correctivo",U17="Manual"),"25%",""))))))</f>
        <v>30%</v>
      </c>
      <c r="W17" s="10" t="s">
        <v>66</v>
      </c>
      <c r="X17" s="6" t="s">
        <v>67</v>
      </c>
      <c r="Y17" s="10" t="s">
        <v>68</v>
      </c>
      <c r="Z17" s="56">
        <f>IFERROR(IF(S17="Probabilidad",(I17-(+I17*V17)),IF(S17="Impacto",I17,"")),"")</f>
        <v>0.42</v>
      </c>
      <c r="AA17" s="57" t="str">
        <f t="shared" ref="AA17:AA21" si="2">IFERROR(IF(Z17="","",IF(Z17&lt;=0.2,"Muy Baja",IF(Z17&lt;=0.4,"Baja",IF(Z17&lt;=0.6,"Media",IF(Z17&lt;=0.8,"Alta","Muy Alta"))))),"")</f>
        <v>Media</v>
      </c>
      <c r="AB17" s="58">
        <f t="shared" ref="AB17:AB21" si="3">+Z17</f>
        <v>0.42</v>
      </c>
      <c r="AC17" s="59" t="str">
        <f t="shared" ref="AC17:AC21" si="4">IFERROR(IF(AD17="","",IF(AD17&lt;=0.2,"Leve",IF(AD17&lt;=0.4,"Menor",IF(AD17&lt;=0.6,"Moderado",IF(AD17&lt;=0.8,"Mayor","Catastrófico"))))),"")</f>
        <v>Moderado</v>
      </c>
      <c r="AD17" s="56">
        <f>IFERROR(IF(S17="Impacto",(M17-(+M17*V17)),IF(S17="Probabilidad",M17,"")),"")</f>
        <v>0.6</v>
      </c>
      <c r="AE17" s="60" t="str">
        <f>+CONCATENATE(AA17, " - ", AC17)</f>
        <v>Media - Moderado</v>
      </c>
      <c r="AF17" s="76" t="str">
        <f>+VLOOKUP(AE17,Datos!$J$4:$K$28,2,)</f>
        <v>MODERADO</v>
      </c>
      <c r="AG17" s="145" t="s">
        <v>69</v>
      </c>
      <c r="AH17" s="39"/>
      <c r="AI17" s="138" t="s">
        <v>70</v>
      </c>
      <c r="AJ17" s="140" t="s">
        <v>71</v>
      </c>
      <c r="AK17" s="142">
        <v>45657</v>
      </c>
      <c r="AM17" s="85">
        <v>45791</v>
      </c>
      <c r="AN17" s="86" t="s">
        <v>72</v>
      </c>
      <c r="AO17" s="206" t="s">
        <v>73</v>
      </c>
      <c r="AP17" s="208" t="s">
        <v>74</v>
      </c>
      <c r="AQ17" s="204"/>
      <c r="AR17" s="44"/>
      <c r="AS17" s="210" t="s">
        <v>75</v>
      </c>
      <c r="AT17" s="213" t="s">
        <v>76</v>
      </c>
    </row>
    <row r="18" spans="1:46" ht="250.5" customHeight="1">
      <c r="A18" s="165"/>
      <c r="B18" s="168"/>
      <c r="C18" s="171"/>
      <c r="D18" s="212"/>
      <c r="E18" s="171"/>
      <c r="F18" s="179"/>
      <c r="G18" s="168"/>
      <c r="H18" s="109"/>
      <c r="I18" s="98"/>
      <c r="J18" s="173"/>
      <c r="K18" s="106"/>
      <c r="L18" s="109"/>
      <c r="M18" s="98"/>
      <c r="N18" s="111"/>
      <c r="O18" s="113"/>
      <c r="P18" s="41"/>
      <c r="Q18" s="9">
        <v>2</v>
      </c>
      <c r="R18" s="80" t="s">
        <v>77</v>
      </c>
      <c r="S18" s="50" t="str">
        <f t="shared" si="0"/>
        <v>Impacto</v>
      </c>
      <c r="T18" s="22" t="s">
        <v>78</v>
      </c>
      <c r="U18" s="22" t="s">
        <v>65</v>
      </c>
      <c r="V18" s="54" t="str">
        <f t="shared" si="1"/>
        <v>25%</v>
      </c>
      <c r="W18" s="83" t="s">
        <v>79</v>
      </c>
      <c r="X18" s="22" t="s">
        <v>80</v>
      </c>
      <c r="Y18" s="23" t="s">
        <v>81</v>
      </c>
      <c r="Z18" s="66">
        <f>IFERROR(IF(AND(S17="Probabilidad",S18="Probabilidad"),(AB17-(+AB17*V18)),IF(S18="Probabilidad",(I17-(+I17*V18)),IF(S18="Impacto",AB17,""))),"")</f>
        <v>0.42</v>
      </c>
      <c r="AA18" s="67" t="str">
        <f t="shared" ref="AA18" si="5">IFERROR(IF(Z18="","",IF(Z18&lt;=0.2,"Muy Baja",IF(Z18&lt;=0.4,"Baja",IF(Z18&lt;=0.6,"Media",IF(Z18&lt;=0.8,"Alta","Muy Alta"))))),"")</f>
        <v>Media</v>
      </c>
      <c r="AB18" s="68">
        <f t="shared" ref="AB18" si="6">+Z18</f>
        <v>0.42</v>
      </c>
      <c r="AC18" s="69" t="str">
        <f t="shared" ref="AC18" si="7">IFERROR(IF(AD18="","",IF(AD18&lt;=0.2,"Leve",IF(AD18&lt;=0.4,"Menor",IF(AD18&lt;=0.6,"Moderado",IF(AD18&lt;=0.8,"Mayor","Catastrófico"))))),"")</f>
        <v>Moderado</v>
      </c>
      <c r="AD18" s="66">
        <f>IFERROR(IF(AND(S17="Impacto",S17="Impacto"),(AD17-(+AD17*V18)),IF(S18="Impacto",(M17-(+M17*V18)),IF(S18="Probabilidad",AD17,""))),"")</f>
        <v>0.44999999999999996</v>
      </c>
      <c r="AE18" s="70" t="str">
        <f t="shared" ref="AE18" si="8">+CONCATENATE(AA18, " - ", AC18)</f>
        <v>Media - Moderado</v>
      </c>
      <c r="AF18" s="78" t="str">
        <f>+VLOOKUP(AE18,Datos!$J$4:$K$28,2,)</f>
        <v>MODERADO</v>
      </c>
      <c r="AG18" s="104"/>
      <c r="AH18" s="41"/>
      <c r="AI18" s="139"/>
      <c r="AJ18" s="141"/>
      <c r="AK18" s="141"/>
      <c r="AM18" s="85">
        <v>45791</v>
      </c>
      <c r="AN18" s="87" t="s">
        <v>82</v>
      </c>
      <c r="AO18" s="207"/>
      <c r="AP18" s="209"/>
      <c r="AQ18" s="205"/>
      <c r="AR18" s="43"/>
      <c r="AS18" s="92"/>
      <c r="AT18" s="214"/>
    </row>
    <row r="19" spans="1:46" ht="237" customHeight="1">
      <c r="A19" s="163">
        <v>2</v>
      </c>
      <c r="B19" s="166" t="s">
        <v>58</v>
      </c>
      <c r="C19" s="169" t="s">
        <v>83</v>
      </c>
      <c r="D19" s="169" t="s">
        <v>84</v>
      </c>
      <c r="E19" s="169" t="s">
        <v>85</v>
      </c>
      <c r="F19" s="177"/>
      <c r="G19" s="166">
        <v>15</v>
      </c>
      <c r="H19" s="107" t="str">
        <f>IF(G19&lt;=0,"",IF(G19&lt;=2,"Muy Baja",IF(G19&lt;=24,"Baja",IF(G19&lt;=500,"Media",IF(G19&lt;=5000,"Alta","Muy Alta")))))</f>
        <v>Baja</v>
      </c>
      <c r="I19" s="96">
        <f>IF(H19="","",IF(H19="Muy Baja",0.2,IF(H19="Baja",0.4,IF(H19="Media",0.6,IF(H19="Alta",0.8,IF(H19="Muy Alta",1,))))))</f>
        <v>0.4</v>
      </c>
      <c r="J19" s="175" t="s">
        <v>86</v>
      </c>
      <c r="K19" s="105" t="str">
        <f>+J19</f>
        <v>El riesgo afecta la imagen de la entidad internamente, de conocimiento general nivel interno, de junta directiva y/o de proveedores</v>
      </c>
      <c r="L19" s="107" t="str">
        <f>+VLOOKUP(K19,Datos!$O$4:$P$15,2,FALSE)</f>
        <v>Menor</v>
      </c>
      <c r="M19" s="96">
        <f>IF(L19="","",IF(L19="Leve",0.2,IF(L19="Menor",0.4,IF(L19="Moderado",0.6,IF(L19="Mayor",0.8,IF(L19="Catastrófico",1,))))))</f>
        <v>0.4</v>
      </c>
      <c r="N19" s="110" t="str">
        <f>+CONCATENATE(H19, " - ", L19)</f>
        <v>Baja - Menor</v>
      </c>
      <c r="O19" s="112" t="str">
        <f>+VLOOKUP(N19,Datos!J10:K34,2,)</f>
        <v>MODERADO</v>
      </c>
      <c r="P19" s="2"/>
      <c r="Q19" s="36">
        <v>1</v>
      </c>
      <c r="R19" s="33" t="s">
        <v>87</v>
      </c>
      <c r="S19" s="51" t="str">
        <f t="shared" si="0"/>
        <v>Probabilidad</v>
      </c>
      <c r="T19" s="37" t="s">
        <v>88</v>
      </c>
      <c r="U19" s="37" t="s">
        <v>65</v>
      </c>
      <c r="V19" s="55" t="str">
        <f t="shared" ref="V19:V21" si="9">IF(AND(T19="Preventivo",U19="Automático"),"50%",IF(AND(T19="Preventivo",U19="Manual"),"40%",IF(AND(T19="Detectivo",U19="Automático"),"40%",IF(AND(T19="Detectivo",U19="Manual"),"30%",IF(AND(T19="Correctivo",U19="Automático"),"35%",IF(AND(T19="Correctivo",U19="Manual"),"25%",""))))))</f>
        <v>40%</v>
      </c>
      <c r="W19" s="83" t="s">
        <v>79</v>
      </c>
      <c r="X19" s="38" t="s">
        <v>89</v>
      </c>
      <c r="Y19" s="38" t="s">
        <v>90</v>
      </c>
      <c r="Z19" s="71">
        <f>IFERROR(IF(S19="Probabilidad",(I19-(+I19*V19)),IF(S19="Impacto",I19,"")),"")</f>
        <v>0.24</v>
      </c>
      <c r="AA19" s="72" t="str">
        <f t="shared" si="2"/>
        <v>Baja</v>
      </c>
      <c r="AB19" s="73">
        <f t="shared" si="3"/>
        <v>0.24</v>
      </c>
      <c r="AC19" s="74" t="str">
        <f t="shared" si="4"/>
        <v>Menor</v>
      </c>
      <c r="AD19" s="71">
        <f>IFERROR(IF(S19="Impacto",(M19-(+M19*V19)),IF(S19="Probabilidad",M19,"")),"")</f>
        <v>0.4</v>
      </c>
      <c r="AE19" s="75" t="str">
        <f>+CONCATENATE(AA19, " - ", AC19)</f>
        <v>Baja - Menor</v>
      </c>
      <c r="AF19" s="79" t="str">
        <f>+VLOOKUP(AE19,Datos!$J$4:$K$28,2,)</f>
        <v>MODERADO</v>
      </c>
      <c r="AG19" s="102" t="s">
        <v>91</v>
      </c>
      <c r="AH19" s="2"/>
      <c r="AI19" s="99" t="s">
        <v>70</v>
      </c>
      <c r="AJ19" s="99" t="s">
        <v>92</v>
      </c>
      <c r="AK19" s="101">
        <v>45656</v>
      </c>
      <c r="AM19" s="85">
        <v>45791</v>
      </c>
      <c r="AN19" s="88" t="s">
        <v>93</v>
      </c>
      <c r="AO19" s="93" t="s">
        <v>73</v>
      </c>
      <c r="AP19" s="93" t="s">
        <v>74</v>
      </c>
      <c r="AQ19" s="114"/>
      <c r="AR19" s="43"/>
      <c r="AS19" s="90" t="s">
        <v>94</v>
      </c>
      <c r="AT19" s="215" t="s">
        <v>95</v>
      </c>
    </row>
    <row r="20" spans="1:46" ht="236.25" customHeight="1">
      <c r="A20" s="164"/>
      <c r="B20" s="167"/>
      <c r="C20" s="170"/>
      <c r="D20" s="170"/>
      <c r="E20" s="170"/>
      <c r="F20" s="178"/>
      <c r="G20" s="167"/>
      <c r="H20" s="108"/>
      <c r="I20" s="97"/>
      <c r="J20" s="175"/>
      <c r="K20" s="105"/>
      <c r="L20" s="108"/>
      <c r="M20" s="97"/>
      <c r="N20" s="110"/>
      <c r="O20" s="112"/>
      <c r="P20" s="2"/>
      <c r="Q20" s="8">
        <v>2</v>
      </c>
      <c r="R20" s="33" t="s">
        <v>96</v>
      </c>
      <c r="S20" s="49" t="str">
        <f t="shared" si="0"/>
        <v>Probabilidad</v>
      </c>
      <c r="T20" s="6" t="s">
        <v>64</v>
      </c>
      <c r="U20" s="6" t="s">
        <v>65</v>
      </c>
      <c r="V20" s="53" t="str">
        <f t="shared" si="9"/>
        <v>30%</v>
      </c>
      <c r="W20" s="83" t="s">
        <v>79</v>
      </c>
      <c r="X20" s="10" t="s">
        <v>89</v>
      </c>
      <c r="Y20" s="84" t="s">
        <v>97</v>
      </c>
      <c r="Z20" s="61">
        <f>IFERROR(IF(AND(S19="Probabilidad",S20="Probabilidad"),(AB19-(+AB19*V20)),IF(S20="Probabilidad",(I19-(+I19*V20)),IF(S20="Impacto",AB19,""))),"")</f>
        <v>0.16799999999999998</v>
      </c>
      <c r="AA20" s="62" t="str">
        <f t="shared" si="2"/>
        <v>Muy Baja</v>
      </c>
      <c r="AB20" s="63">
        <f t="shared" si="3"/>
        <v>0.16799999999999998</v>
      </c>
      <c r="AC20" s="64" t="str">
        <f t="shared" si="4"/>
        <v>Menor</v>
      </c>
      <c r="AD20" s="61">
        <f>IFERROR(IF(AND(S19="Impacto",S19="Impacto"),(AD19-(+AD19*V20)),IF(S20="Impacto",(M19-(+M19*V20)),IF(S20="Probabilidad",AD19,""))),"")</f>
        <v>0.4</v>
      </c>
      <c r="AE20" s="65" t="str">
        <f t="shared" ref="AE20:AE21" si="10">+CONCATENATE(AA20, " - ", AC20)</f>
        <v>Muy Baja - Menor</v>
      </c>
      <c r="AF20" s="77" t="str">
        <f>+VLOOKUP(AE20,Datos!$J$4:$K$28,2,)</f>
        <v>BAJO</v>
      </c>
      <c r="AG20" s="103"/>
      <c r="AH20" s="2"/>
      <c r="AI20" s="99"/>
      <c r="AJ20" s="99"/>
      <c r="AK20" s="99"/>
      <c r="AM20" s="85">
        <v>45791</v>
      </c>
      <c r="AN20" s="87" t="s">
        <v>98</v>
      </c>
      <c r="AO20" s="94"/>
      <c r="AP20" s="94"/>
      <c r="AQ20" s="115"/>
      <c r="AR20" s="43"/>
      <c r="AS20" s="91"/>
      <c r="AT20" s="216"/>
    </row>
    <row r="21" spans="1:46" ht="260.25" customHeight="1">
      <c r="A21" s="165"/>
      <c r="B21" s="168"/>
      <c r="C21" s="171"/>
      <c r="D21" s="171"/>
      <c r="E21" s="171"/>
      <c r="F21" s="179"/>
      <c r="G21" s="168"/>
      <c r="H21" s="109"/>
      <c r="I21" s="98"/>
      <c r="J21" s="173"/>
      <c r="K21" s="106"/>
      <c r="L21" s="109"/>
      <c r="M21" s="98"/>
      <c r="N21" s="111"/>
      <c r="O21" s="113"/>
      <c r="P21" s="2"/>
      <c r="Q21" s="9">
        <v>3</v>
      </c>
      <c r="R21" s="80" t="s">
        <v>99</v>
      </c>
      <c r="S21" s="50" t="str">
        <f t="shared" si="0"/>
        <v>Impacto</v>
      </c>
      <c r="T21" s="22" t="s">
        <v>78</v>
      </c>
      <c r="U21" s="22" t="s">
        <v>65</v>
      </c>
      <c r="V21" s="54" t="str">
        <f t="shared" si="9"/>
        <v>25%</v>
      </c>
      <c r="W21" s="83" t="s">
        <v>79</v>
      </c>
      <c r="X21" s="22" t="s">
        <v>80</v>
      </c>
      <c r="Y21" s="23" t="s">
        <v>100</v>
      </c>
      <c r="Z21" s="66">
        <f>IFERROR(IF(AND(S20="Probabilidad",S21="Probabilidad"),(AB20-(+AB20*V21)),IF(S21="Probabilidad",(I19-(+I19*V21)),IF(S21="Impacto",AB20,""))),"")</f>
        <v>0.16799999999999998</v>
      </c>
      <c r="AA21" s="67" t="str">
        <f t="shared" si="2"/>
        <v>Muy Baja</v>
      </c>
      <c r="AB21" s="68">
        <f t="shared" si="3"/>
        <v>0.16799999999999998</v>
      </c>
      <c r="AC21" s="69" t="str">
        <f t="shared" si="4"/>
        <v>Menor</v>
      </c>
      <c r="AD21" s="66">
        <f>IFERROR(IF(AND(S20="Impacto",S20="Impacto"),(AD20-(+AD20*V21)),IF(S21="Impacto",(M19-(+M19*V21)),IF(S21="Probabilidad",AD20,""))),"")</f>
        <v>0.30000000000000004</v>
      </c>
      <c r="AE21" s="70" t="str">
        <f t="shared" si="10"/>
        <v>Muy Baja - Menor</v>
      </c>
      <c r="AF21" s="78" t="str">
        <f>+VLOOKUP(AE21,Datos!$J$4:$K$28,2,)</f>
        <v>BAJO</v>
      </c>
      <c r="AG21" s="104"/>
      <c r="AH21" s="2"/>
      <c r="AI21" s="100"/>
      <c r="AJ21" s="100"/>
      <c r="AK21" s="100"/>
      <c r="AM21" s="85">
        <v>45791</v>
      </c>
      <c r="AN21" s="89" t="s">
        <v>101</v>
      </c>
      <c r="AO21" s="95"/>
      <c r="AP21" s="95"/>
      <c r="AQ21" s="116"/>
      <c r="AR21" s="43"/>
      <c r="AS21" s="92"/>
      <c r="AT21" s="217"/>
    </row>
    <row r="22" spans="1:46">
      <c r="P22" s="2"/>
      <c r="AR22" s="43"/>
    </row>
    <row r="23" spans="1:46">
      <c r="P23" s="2"/>
    </row>
    <row r="24" spans="1:46">
      <c r="P24" s="2"/>
    </row>
    <row r="25" spans="1:46">
      <c r="P25" s="2"/>
    </row>
    <row r="26" spans="1:46">
      <c r="P26" s="2"/>
    </row>
    <row r="27" spans="1:46">
      <c r="P27" s="2"/>
    </row>
    <row r="28" spans="1:46">
      <c r="P28" s="2"/>
    </row>
    <row r="29" spans="1:46">
      <c r="P29" s="2"/>
    </row>
    <row r="30" spans="1:46">
      <c r="P30" s="2"/>
    </row>
    <row r="31" spans="1:46">
      <c r="P31" s="2"/>
    </row>
  </sheetData>
  <mergeCells count="72">
    <mergeCell ref="A12:C12"/>
    <mergeCell ref="AM14:AQ15"/>
    <mergeCell ref="D12:M12"/>
    <mergeCell ref="L17:L18"/>
    <mergeCell ref="AS14:AT15"/>
    <mergeCell ref="Q14:AG14"/>
    <mergeCell ref="Z15:AG15"/>
    <mergeCell ref="T15:Y15"/>
    <mergeCell ref="AQ17:AQ18"/>
    <mergeCell ref="AO17:AO18"/>
    <mergeCell ref="AP17:AP18"/>
    <mergeCell ref="M17:M18"/>
    <mergeCell ref="AS17:AS18"/>
    <mergeCell ref="AT17:AT18"/>
    <mergeCell ref="D17:D18"/>
    <mergeCell ref="G17:G18"/>
    <mergeCell ref="AQ1:AR2"/>
    <mergeCell ref="AS1:AT2"/>
    <mergeCell ref="AQ3:AR4"/>
    <mergeCell ref="AS3:AT4"/>
    <mergeCell ref="C5:AP8"/>
    <mergeCell ref="AQ5:AR6"/>
    <mergeCell ref="AS5:AT6"/>
    <mergeCell ref="AQ7:AR8"/>
    <mergeCell ref="AS7:AT8"/>
    <mergeCell ref="A19:A21"/>
    <mergeCell ref="B19:B21"/>
    <mergeCell ref="C19:C21"/>
    <mergeCell ref="D19:D21"/>
    <mergeCell ref="J17:J18"/>
    <mergeCell ref="A17:A18"/>
    <mergeCell ref="J19:J21"/>
    <mergeCell ref="B17:B18"/>
    <mergeCell ref="E19:E21"/>
    <mergeCell ref="F19:F21"/>
    <mergeCell ref="G19:G21"/>
    <mergeCell ref="H19:H21"/>
    <mergeCell ref="H17:H18"/>
    <mergeCell ref="E17:E18"/>
    <mergeCell ref="F17:F18"/>
    <mergeCell ref="C17:C18"/>
    <mergeCell ref="A1:B8"/>
    <mergeCell ref="C1:AP4"/>
    <mergeCell ref="AI14:AK15"/>
    <mergeCell ref="AI17:AI18"/>
    <mergeCell ref="AJ17:AJ18"/>
    <mergeCell ref="AK17:AK18"/>
    <mergeCell ref="K17:K18"/>
    <mergeCell ref="N17:N18"/>
    <mergeCell ref="AG17:AG18"/>
    <mergeCell ref="A10:C10"/>
    <mergeCell ref="D10:M10"/>
    <mergeCell ref="A11:C11"/>
    <mergeCell ref="D11:M11"/>
    <mergeCell ref="I17:I18"/>
    <mergeCell ref="A14:O15"/>
    <mergeCell ref="O17:O18"/>
    <mergeCell ref="AS19:AS21"/>
    <mergeCell ref="AT19:AT21"/>
    <mergeCell ref="AO19:AO21"/>
    <mergeCell ref="AP19:AP21"/>
    <mergeCell ref="I19:I21"/>
    <mergeCell ref="AI19:AI21"/>
    <mergeCell ref="AJ19:AJ21"/>
    <mergeCell ref="AK19:AK21"/>
    <mergeCell ref="AG19:AG21"/>
    <mergeCell ref="K19:K21"/>
    <mergeCell ref="L19:L21"/>
    <mergeCell ref="M19:M21"/>
    <mergeCell ref="N19:N21"/>
    <mergeCell ref="O19:O21"/>
    <mergeCell ref="AQ19:AQ21"/>
  </mergeCells>
  <conditionalFormatting sqref="H17:H21">
    <cfRule type="cellIs" dxfId="28" priority="127" operator="equal">
      <formula>"Muy Alta"</formula>
    </cfRule>
    <cfRule type="cellIs" dxfId="27" priority="128" operator="equal">
      <formula>"Alta"</formula>
    </cfRule>
    <cfRule type="cellIs" dxfId="26" priority="129" operator="equal">
      <formula>"Media"</formula>
    </cfRule>
    <cfRule type="cellIs" dxfId="25" priority="130" operator="equal">
      <formula>"Muy Baja"</formula>
    </cfRule>
    <cfRule type="cellIs" dxfId="24" priority="131" operator="equal">
      <formula>"Baja"</formula>
    </cfRule>
  </conditionalFormatting>
  <conditionalFormatting sqref="L17:L21">
    <cfRule type="cellIs" dxfId="23" priority="122" operator="equal">
      <formula>"Leve"</formula>
    </cfRule>
    <cfRule type="cellIs" dxfId="22" priority="123" operator="equal">
      <formula>"Catastrófico"</formula>
    </cfRule>
    <cfRule type="cellIs" dxfId="21" priority="124" operator="equal">
      <formula>"Mayor"</formula>
    </cfRule>
    <cfRule type="cellIs" dxfId="20" priority="125" operator="equal">
      <formula>"Moderado"</formula>
    </cfRule>
    <cfRule type="cellIs" dxfId="19" priority="126" operator="equal">
      <formula>"Menor"</formula>
    </cfRule>
  </conditionalFormatting>
  <conditionalFormatting sqref="O17:O21">
    <cfRule type="cellIs" dxfId="18" priority="118" operator="equal">
      <formula>"EXTREMO"</formula>
    </cfRule>
    <cfRule type="cellIs" dxfId="17" priority="119" operator="equal">
      <formula>"ALTO"</formula>
    </cfRule>
    <cfRule type="cellIs" dxfId="16" priority="120" operator="equal">
      <formula>"BAJO"</formula>
    </cfRule>
    <cfRule type="cellIs" dxfId="15" priority="121" operator="equal">
      <formula>"MODERADO"</formula>
    </cfRule>
  </conditionalFormatting>
  <conditionalFormatting sqref="AA17:AA18">
    <cfRule type="cellIs" dxfId="14" priority="10" operator="equal">
      <formula>"B+$Z$17Muy Baja"</formula>
    </cfRule>
  </conditionalFormatting>
  <conditionalFormatting sqref="AA17:AA21">
    <cfRule type="cellIs" dxfId="13" priority="11" operator="equal">
      <formula>"Baja"</formula>
    </cfRule>
    <cfRule type="cellIs" dxfId="12" priority="12" operator="equal">
      <formula>"Media"</formula>
    </cfRule>
    <cfRule type="cellIs" dxfId="11" priority="13" operator="equal">
      <formula>"Muy Alta"</formula>
    </cfRule>
    <cfRule type="cellIs" dxfId="10" priority="14" operator="equal">
      <formula>"Alta"</formula>
    </cfRule>
  </conditionalFormatting>
  <conditionalFormatting sqref="AA19:AA21">
    <cfRule type="cellIs" dxfId="9" priority="99" operator="equal">
      <formula>"Muy Baja"</formula>
    </cfRule>
  </conditionalFormatting>
  <conditionalFormatting sqref="AC17:AC21">
    <cfRule type="cellIs" dxfId="8" priority="5" operator="equal">
      <formula>"Catastrófico"</formula>
    </cfRule>
    <cfRule type="cellIs" dxfId="7" priority="6" operator="equal">
      <formula>"Mayor"</formula>
    </cfRule>
    <cfRule type="cellIs" dxfId="6" priority="7" operator="equal">
      <formula>"Moderado"</formula>
    </cfRule>
    <cfRule type="cellIs" dxfId="5" priority="8" operator="equal">
      <formula>"Menor"</formula>
    </cfRule>
    <cfRule type="cellIs" dxfId="4" priority="9" operator="equal">
      <formula>"Leve"</formula>
    </cfRule>
  </conditionalFormatting>
  <conditionalFormatting sqref="AF17:AF21">
    <cfRule type="cellIs" dxfId="3" priority="1" operator="equal">
      <formula>"EXTREMO"</formula>
    </cfRule>
    <cfRule type="cellIs" dxfId="2" priority="2" operator="equal">
      <formula>"ALTO"</formula>
    </cfRule>
    <cfRule type="cellIs" dxfId="1" priority="3" operator="equal">
      <formula>"BAJO"</formula>
    </cfRule>
    <cfRule type="cellIs" dxfId="0" priority="4"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18:M18 M17"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B17:B21</xm:sqref>
        </x14:dataValidation>
        <x14:dataValidation type="list" allowBlank="1" showInputMessage="1" showErrorMessage="1" xr:uid="{24BF034C-8DF6-4DDD-AB0C-FB15D8D5C9DC}">
          <x14:formula1>
            <xm:f>Datos!$O$3:$O$15</xm:f>
          </x14:formula1>
          <xm:sqref>J17:J21</xm:sqref>
        </x14:dataValidation>
        <x14:dataValidation type="list" allowBlank="1" showInputMessage="1" showErrorMessage="1" xr:uid="{A1FA52A4-69DE-4657-98CA-1920C8A6A77B}">
          <x14:formula1>
            <xm:f>Datos!$P$19:$P$22</xm:f>
          </x14:formula1>
          <xm:sqref>T17:T21</xm:sqref>
        </x14:dataValidation>
        <x14:dataValidation type="list" allowBlank="1" showInputMessage="1" showErrorMessage="1" xr:uid="{B5CA7F40-8C14-496F-BFA9-3397672B45BD}">
          <x14:formula1>
            <xm:f>Datos!$P$25:$P$26</xm:f>
          </x14:formula1>
          <xm:sqref>U17:U21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dimension ref="A3:Q28"/>
  <sheetViews>
    <sheetView topLeftCell="K1" zoomScale="120" zoomScaleNormal="120" workbookViewId="0">
      <selection activeCell="Q15" sqref="Q15"/>
    </sheetView>
  </sheetViews>
  <sheetFormatPr defaultColWidth="11.42578125" defaultRowHeight="14.45"/>
  <cols>
    <col min="7" max="7" width="14.85546875" customWidth="1"/>
    <col min="10" max="10" width="33" customWidth="1"/>
    <col min="15" max="15" width="81.42578125" customWidth="1"/>
  </cols>
  <sheetData>
    <row r="3" spans="1:17">
      <c r="A3" s="26" t="s">
        <v>102</v>
      </c>
      <c r="D3" t="s">
        <v>103</v>
      </c>
      <c r="G3" t="s">
        <v>104</v>
      </c>
      <c r="J3" t="s">
        <v>105</v>
      </c>
      <c r="O3" t="s">
        <v>106</v>
      </c>
    </row>
    <row r="4" spans="1:17">
      <c r="A4" t="s">
        <v>107</v>
      </c>
      <c r="D4" t="s">
        <v>108</v>
      </c>
      <c r="E4" s="25">
        <v>0.2</v>
      </c>
      <c r="G4" t="s">
        <v>109</v>
      </c>
      <c r="H4" s="25">
        <v>0.2</v>
      </c>
      <c r="J4" t="s">
        <v>110</v>
      </c>
      <c r="K4" t="s">
        <v>111</v>
      </c>
      <c r="O4" t="s">
        <v>112</v>
      </c>
      <c r="P4" s="3" t="s">
        <v>113</v>
      </c>
      <c r="Q4" s="28">
        <v>0.2</v>
      </c>
    </row>
    <row r="5" spans="1:17">
      <c r="A5" t="s">
        <v>58</v>
      </c>
      <c r="D5" t="s">
        <v>114</v>
      </c>
      <c r="E5" s="25">
        <v>0.4</v>
      </c>
      <c r="G5" t="s">
        <v>115</v>
      </c>
      <c r="H5" s="25">
        <v>0.4</v>
      </c>
      <c r="J5" t="s">
        <v>116</v>
      </c>
      <c r="K5" t="s">
        <v>111</v>
      </c>
      <c r="O5" s="27" t="s">
        <v>117</v>
      </c>
      <c r="P5" s="3" t="s">
        <v>118</v>
      </c>
      <c r="Q5" s="28">
        <v>0.4</v>
      </c>
    </row>
    <row r="6" spans="1:17">
      <c r="A6" t="s">
        <v>119</v>
      </c>
      <c r="D6" t="s">
        <v>120</v>
      </c>
      <c r="E6" s="25">
        <v>0.6</v>
      </c>
      <c r="G6" t="s">
        <v>121</v>
      </c>
      <c r="H6" s="25">
        <v>0.6</v>
      </c>
      <c r="J6" t="s">
        <v>122</v>
      </c>
      <c r="K6" t="s">
        <v>121</v>
      </c>
      <c r="O6" t="s">
        <v>123</v>
      </c>
      <c r="P6" s="3" t="s">
        <v>124</v>
      </c>
      <c r="Q6" s="28">
        <v>0.6</v>
      </c>
    </row>
    <row r="7" spans="1:17">
      <c r="D7" t="s">
        <v>125</v>
      </c>
      <c r="E7" s="25">
        <v>0.8</v>
      </c>
      <c r="G7" t="s">
        <v>126</v>
      </c>
      <c r="H7" s="25">
        <v>0.8</v>
      </c>
      <c r="J7" t="s">
        <v>127</v>
      </c>
      <c r="K7" t="s">
        <v>128</v>
      </c>
      <c r="O7" t="s">
        <v>129</v>
      </c>
      <c r="P7" s="3" t="s">
        <v>130</v>
      </c>
      <c r="Q7" s="28">
        <v>0.8</v>
      </c>
    </row>
    <row r="8" spans="1:17">
      <c r="D8" t="s">
        <v>131</v>
      </c>
      <c r="E8" s="25">
        <v>1</v>
      </c>
      <c r="G8" t="s">
        <v>132</v>
      </c>
      <c r="H8" s="25">
        <v>1</v>
      </c>
      <c r="J8" t="s">
        <v>133</v>
      </c>
      <c r="K8" t="s">
        <v>134</v>
      </c>
      <c r="O8" t="s">
        <v>135</v>
      </c>
      <c r="P8" s="3" t="s">
        <v>136</v>
      </c>
      <c r="Q8" s="28">
        <v>1</v>
      </c>
    </row>
    <row r="9" spans="1:17">
      <c r="J9" t="s">
        <v>137</v>
      </c>
      <c r="K9" t="s">
        <v>111</v>
      </c>
    </row>
    <row r="10" spans="1:17">
      <c r="J10" t="s">
        <v>138</v>
      </c>
      <c r="K10" t="s">
        <v>121</v>
      </c>
      <c r="O10" t="s">
        <v>139</v>
      </c>
    </row>
    <row r="11" spans="1:17">
      <c r="J11" t="s">
        <v>140</v>
      </c>
      <c r="K11" t="s">
        <v>121</v>
      </c>
      <c r="O11" t="s">
        <v>141</v>
      </c>
      <c r="P11" s="3" t="s">
        <v>113</v>
      </c>
      <c r="Q11" s="28">
        <v>0.2</v>
      </c>
    </row>
    <row r="12" spans="1:17" ht="30.75" customHeight="1">
      <c r="J12" t="s">
        <v>142</v>
      </c>
      <c r="K12" t="s">
        <v>128</v>
      </c>
      <c r="O12" s="27" t="s">
        <v>86</v>
      </c>
      <c r="P12" s="3" t="s">
        <v>118</v>
      </c>
      <c r="Q12" s="28">
        <v>0.4</v>
      </c>
    </row>
    <row r="13" spans="1:17" ht="28.9">
      <c r="J13" t="s">
        <v>143</v>
      </c>
      <c r="K13" t="s">
        <v>134</v>
      </c>
      <c r="O13" s="27" t="s">
        <v>62</v>
      </c>
      <c r="P13" s="3" t="s">
        <v>124</v>
      </c>
      <c r="Q13" s="28">
        <v>0.6</v>
      </c>
    </row>
    <row r="14" spans="1:17" ht="28.9">
      <c r="J14" t="s">
        <v>144</v>
      </c>
      <c r="K14" t="s">
        <v>121</v>
      </c>
      <c r="O14" s="27" t="s">
        <v>145</v>
      </c>
      <c r="P14" s="3" t="s">
        <v>130</v>
      </c>
      <c r="Q14" s="28">
        <v>0.8</v>
      </c>
    </row>
    <row r="15" spans="1:17" ht="28.9">
      <c r="J15" t="s">
        <v>146</v>
      </c>
      <c r="K15" t="s">
        <v>121</v>
      </c>
      <c r="O15" s="27" t="s">
        <v>147</v>
      </c>
      <c r="P15" s="3" t="s">
        <v>136</v>
      </c>
      <c r="Q15" s="28">
        <v>1</v>
      </c>
    </row>
    <row r="16" spans="1:17">
      <c r="J16" t="s">
        <v>148</v>
      </c>
      <c r="K16" t="s">
        <v>121</v>
      </c>
    </row>
    <row r="17" spans="10:16">
      <c r="J17" t="s">
        <v>149</v>
      </c>
      <c r="K17" t="s">
        <v>128</v>
      </c>
    </row>
    <row r="18" spans="10:16">
      <c r="J18" t="s">
        <v>150</v>
      </c>
      <c r="K18" t="s">
        <v>134</v>
      </c>
    </row>
    <row r="19" spans="10:16">
      <c r="J19" t="s">
        <v>151</v>
      </c>
      <c r="K19" t="s">
        <v>121</v>
      </c>
      <c r="P19" t="s">
        <v>152</v>
      </c>
    </row>
    <row r="20" spans="10:16">
      <c r="J20" t="s">
        <v>153</v>
      </c>
      <c r="K20" t="s">
        <v>121</v>
      </c>
      <c r="P20" t="s">
        <v>88</v>
      </c>
    </row>
    <row r="21" spans="10:16">
      <c r="J21" t="s">
        <v>154</v>
      </c>
      <c r="K21" t="s">
        <v>128</v>
      </c>
      <c r="P21" t="s">
        <v>64</v>
      </c>
    </row>
    <row r="22" spans="10:16">
      <c r="J22" t="s">
        <v>155</v>
      </c>
      <c r="K22" t="s">
        <v>128</v>
      </c>
      <c r="P22" t="s">
        <v>78</v>
      </c>
    </row>
    <row r="23" spans="10:16">
      <c r="J23" t="s">
        <v>156</v>
      </c>
      <c r="K23" t="s">
        <v>134</v>
      </c>
    </row>
    <row r="24" spans="10:16">
      <c r="J24" t="s">
        <v>157</v>
      </c>
      <c r="K24" t="s">
        <v>128</v>
      </c>
      <c r="P24" t="s">
        <v>158</v>
      </c>
    </row>
    <row r="25" spans="10:16">
      <c r="J25" t="s">
        <v>159</v>
      </c>
      <c r="K25" t="s">
        <v>128</v>
      </c>
      <c r="P25" t="s">
        <v>160</v>
      </c>
    </row>
    <row r="26" spans="10:16">
      <c r="J26" t="s">
        <v>161</v>
      </c>
      <c r="K26" t="s">
        <v>128</v>
      </c>
      <c r="P26" t="s">
        <v>65</v>
      </c>
    </row>
    <row r="27" spans="10:16">
      <c r="J27" t="s">
        <v>162</v>
      </c>
      <c r="K27" t="s">
        <v>128</v>
      </c>
    </row>
    <row r="28" spans="10:16">
      <c r="J28" t="s">
        <v>163</v>
      </c>
      <c r="K28" t="s">
        <v>134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374F-F591-4574-B834-47D1B9F3602A}">
  <dimension ref="A1"/>
  <sheetViews>
    <sheetView workbookViewId="0">
      <selection activeCell="C36" sqref="C36"/>
    </sheetView>
  </sheetViews>
  <sheetFormatPr defaultColWidth="11.42578125"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Props1.xml><?xml version="1.0" encoding="utf-8"?>
<ds:datastoreItem xmlns:ds="http://schemas.openxmlformats.org/officeDocument/2006/customXml" ds:itemID="{2BACC604-8999-4E76-8E3E-1BDCEC735DCD}"/>
</file>

<file path=customXml/itemProps2.xml><?xml version="1.0" encoding="utf-8"?>
<ds:datastoreItem xmlns:ds="http://schemas.openxmlformats.org/officeDocument/2006/customXml" ds:itemID="{8F4B51BE-A95C-4882-99ED-5A507A0A03D1}"/>
</file>

<file path=customXml/itemProps3.xml><?xml version="1.0" encoding="utf-8"?>
<ds:datastoreItem xmlns:ds="http://schemas.openxmlformats.org/officeDocument/2006/customXml" ds:itemID="{A168E1FF-41B3-49C0-81B2-2BD906D80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Control Interno</cp:lastModifiedBy>
  <cp:revision/>
  <dcterms:created xsi:type="dcterms:W3CDTF">2021-05-10T15:52:34Z</dcterms:created>
  <dcterms:modified xsi:type="dcterms:W3CDTF">2025-05-30T03:47:58Z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